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<sst xmlns="http://schemas.openxmlformats.org/spreadsheetml/2006/main" count="159" uniqueCount="113">
  <si>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</si>
  <si>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</si>
  <si>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</si>
  <si>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</si>
  <si>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</si>
  <si>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</si>
  <si>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</si>
  <si>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</si>
  <si>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</si>
  <si>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</si>
  <si>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</si>
  <si>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</si>
  <si>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</si>
  <si>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</si>
  <si>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</si>
  <si>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</si>
  <si>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</si>
  <si>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</si>
  <si>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</si>
  <si>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</si>
  <si>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</si>
  <si>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</si>
  <si>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</si>
  <si>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</si>
  <si>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</si>
  <si>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</si>
  <si>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</si>
  <si>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</si>
  <si>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</si>
  <si>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</si>
  <si>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</si>
  <si>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</si>
  <si>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</si>
  <si>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</si>
  <si>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</si>
  <si>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</si>
  <si>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</si>
  <si>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</si>
  <si>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</si>
  <si>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</si>
  <si>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</si>
  <si>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</si>
  <si>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</si>
  <si>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</si>
  <si>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</si>
  <si>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</si>
  <si>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</si>
  <si>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</si>
  <si>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</si>
  <si>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</si>
  <si>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</si>
  <si>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</si>
  <si>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</si>
  <si>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</si>
  <si>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</si>
  <si>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</si>
  <si>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</si>
  <si>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</si>
  <si>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</si>
  <si>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</si>
  <si>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</si>
  <si>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</si>
  <si>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</si>
  <si>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</si>
  <si>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</si>
  <si>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</si>
  <si>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</si>
  <si>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</si>
  <si>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</si>
  <si>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</si>
  <si>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</si>
  <si>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</si>
  <si>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</si>
  <si>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</si>
  <si>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</si>
  <si>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</si>
  <si>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</si>
  <si>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</si>
  <si>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</si>
  <si>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</si>
  <si>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</si>
  <si>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</si>
  <si>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</si>
  <si>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</si>
  <si>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</si>
  <si>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</si>
  <si>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</si>
  <si>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</si>
  <si>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</si>
  <si>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</si>
  <si>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</si>
  <si>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</si>
  <si>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</si>
  <si>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</si>
  <si>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</si>
  <si>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</si>
  <si>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</si>
  <si>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</si>
  <si>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</si>
  <si>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</si>
  <si>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</si>
  <si>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</si>
  <si>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</si>
  <si>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</si>
  <si>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</si>
  <si>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</si>
  <si>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</si>
  <si>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</si>
  <si>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</si>
  <si>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Аналіз використання коштів міського бюджету за 2014 рік станом на 03.11.2014 року</t>
  </si>
  <si>
    <t>план 11 місяців, тис.грн.</t>
  </si>
  <si>
    <t>Відсоток виконання плану 11 місяців</t>
  </si>
  <si>
    <t>Відхилення від плану 11 місяців, тис.грн.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</si>
</sst>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33875.100000000006</c:v>
                </c:pt>
                <c:pt idx="1">
                  <c:v>29122.8</c:v>
                </c:pt>
                <c:pt idx="2">
                  <c:v>1195</c:v>
                </c:pt>
                <c:pt idx="3">
                  <c:v>3557.3000000000065</c:v>
                </c:pt>
              </c:numCache>
            </c:numRef>
          </c:val>
          <c:shape val="box"/>
        </c:ser>
        <c:shape val="box"/>
        <c:axId val="28571590"/>
        <c:axId val="55817719"/>
      </c:bar3D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817719"/>
        <c:crosses val="autoZero"/>
        <c:auto val="1"/>
        <c:lblOffset val="100"/>
        <c:tickLblSkip val="1"/>
        <c:noMultiLvlLbl val="0"/>
      </c:catAx>
      <c:valAx>
        <c:axId val="55817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15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218299.51</c:v>
                </c:pt>
                <c:pt idx="1">
                  <c:v>181769.79999999993</c:v>
                </c:pt>
                <c:pt idx="2">
                  <c:v>20</c:v>
                </c:pt>
                <c:pt idx="3">
                  <c:v>12768.900000000001</c:v>
                </c:pt>
                <c:pt idx="4">
                  <c:v>22201.699999999997</c:v>
                </c:pt>
                <c:pt idx="5">
                  <c:v>186.9</c:v>
                </c:pt>
                <c:pt idx="6">
                  <c:v>1352.2100000000805</c:v>
                </c:pt>
              </c:numCache>
            </c:numRef>
          </c:val>
          <c:shape val="box"/>
        </c:ser>
        <c:shape val="box"/>
        <c:axId val="32597424"/>
        <c:axId val="24941361"/>
      </c:bar3D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41361"/>
        <c:crosses val="autoZero"/>
        <c:auto val="1"/>
        <c:lblOffset val="100"/>
        <c:tickLblSkip val="1"/>
        <c:noMultiLvlLbl val="0"/>
      </c:catAx>
      <c:valAx>
        <c:axId val="24941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151755.70000000004</c:v>
                </c:pt>
                <c:pt idx="1">
                  <c:v>123103.59999999999</c:v>
                </c:pt>
                <c:pt idx="2">
                  <c:v>4240.899999999999</c:v>
                </c:pt>
                <c:pt idx="3">
                  <c:v>2195.7</c:v>
                </c:pt>
                <c:pt idx="4">
                  <c:v>11374.099999999997</c:v>
                </c:pt>
                <c:pt idx="5">
                  <c:v>1160.3999999999999</c:v>
                </c:pt>
                <c:pt idx="6">
                  <c:v>9681.000000000055</c:v>
                </c:pt>
              </c:numCache>
            </c:numRef>
          </c:val>
          <c:shape val="box"/>
        </c:ser>
        <c:shape val="box"/>
        <c:axId val="23145658"/>
        <c:axId val="6984331"/>
      </c:bar3D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4331"/>
        <c:crosses val="autoZero"/>
        <c:auto val="1"/>
        <c:lblOffset val="100"/>
        <c:tickLblSkip val="1"/>
        <c:noMultiLvlLbl val="0"/>
      </c:catAx>
      <c:valAx>
        <c:axId val="6984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28856.499999999993</c:v>
                </c:pt>
                <c:pt idx="1">
                  <c:v>22260.9</c:v>
                </c:pt>
                <c:pt idx="2">
                  <c:v>725.1999999999997</c:v>
                </c:pt>
                <c:pt idx="3">
                  <c:v>337.9</c:v>
                </c:pt>
                <c:pt idx="4">
                  <c:v>18</c:v>
                </c:pt>
                <c:pt idx="5">
                  <c:v>5514.499999999992</c:v>
                </c:pt>
              </c:numCache>
            </c:numRef>
          </c:val>
          <c:shape val="box"/>
        </c:ser>
        <c:shape val="box"/>
        <c:axId val="62858980"/>
        <c:axId val="28859909"/>
      </c:bar3D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59909"/>
        <c:crosses val="autoZero"/>
        <c:auto val="1"/>
        <c:lblOffset val="100"/>
        <c:tickLblSkip val="1"/>
        <c:noMultiLvlLbl val="0"/>
      </c:catAx>
      <c:valAx>
        <c:axId val="28859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89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8917.600000000002</c:v>
                </c:pt>
                <c:pt idx="1">
                  <c:v>5919.699999999999</c:v>
                </c:pt>
                <c:pt idx="2">
                  <c:v>2.1</c:v>
                </c:pt>
                <c:pt idx="3">
                  <c:v>123.50000000000001</c:v>
                </c:pt>
                <c:pt idx="4">
                  <c:v>250.19999999999987</c:v>
                </c:pt>
                <c:pt idx="5">
                  <c:v>2622.1000000000035</c:v>
                </c:pt>
              </c:numCache>
            </c:numRef>
          </c:val>
          <c:shape val="box"/>
        </c:ser>
        <c:shape val="box"/>
        <c:axId val="58412590"/>
        <c:axId val="55951263"/>
      </c:bar3D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51263"/>
        <c:crosses val="autoZero"/>
        <c:auto val="1"/>
        <c:lblOffset val="100"/>
        <c:tickLblSkip val="2"/>
        <c:noMultiLvlLbl val="0"/>
      </c:catAx>
      <c:valAx>
        <c:axId val="559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25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2604.2000000000003</c:v>
                </c:pt>
                <c:pt idx="1">
                  <c:v>1473.7</c:v>
                </c:pt>
                <c:pt idx="2">
                  <c:v>181.4</c:v>
                </c:pt>
                <c:pt idx="3">
                  <c:v>130.50000000000003</c:v>
                </c:pt>
                <c:pt idx="4">
                  <c:v>728.3000000000001</c:v>
                </c:pt>
                <c:pt idx="5">
                  <c:v>90.30000000000015</c:v>
                </c:pt>
              </c:numCache>
            </c:numRef>
          </c:val>
          <c:shape val="box"/>
        </c:ser>
        <c:shape val="box"/>
        <c:axId val="33799320"/>
        <c:axId val="35758425"/>
      </c:bar3D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28072.400000000005</c:v>
                </c:pt>
              </c:numCache>
            </c:numRef>
          </c:val>
          <c:shape val="box"/>
        </c:ser>
        <c:shape val="box"/>
        <c:axId val="53390370"/>
        <c:axId val="10751283"/>
      </c:bar3D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218299.51</c:v>
                </c:pt>
                <c:pt idx="1">
                  <c:v>151755.70000000004</c:v>
                </c:pt>
                <c:pt idx="2">
                  <c:v>28856.499999999993</c:v>
                </c:pt>
                <c:pt idx="3">
                  <c:v>8917.600000000002</c:v>
                </c:pt>
                <c:pt idx="4">
                  <c:v>2604.2000000000003</c:v>
                </c:pt>
                <c:pt idx="5">
                  <c:v>33875.100000000006</c:v>
                </c:pt>
                <c:pt idx="6">
                  <c:v>28072.400000000005</c:v>
                </c:pt>
              </c:numCache>
            </c:numRef>
          </c:val>
          <c:shape val="box"/>
        </c:ser>
        <c:shape val="box"/>
        <c:axId val="29652684"/>
        <c:axId val="65547565"/>
      </c:bar3DChart>
      <c:catAx>
        <c:axId val="2965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47565"/>
        <c:crosses val="autoZero"/>
        <c:auto val="1"/>
        <c:lblOffset val="100"/>
        <c:tickLblSkip val="1"/>
        <c:noMultiLvlLbl val="0"/>
      </c:catAx>
      <c:valAx>
        <c:axId val="65547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526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430976.7</c:v>
                </c:pt>
                <c:pt idx="1">
                  <c:v>64495.399999999994</c:v>
                </c:pt>
                <c:pt idx="2">
                  <c:v>20516.600000000002</c:v>
                </c:pt>
                <c:pt idx="3">
                  <c:v>8131</c:v>
                </c:pt>
                <c:pt idx="4">
                  <c:v>7943.900000000001</c:v>
                </c:pt>
                <c:pt idx="5">
                  <c:v>92096.20000000004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368463.49999999994</c:v>
                </c:pt>
                <c:pt idx="1">
                  <c:v>36440.099999999984</c:v>
                </c:pt>
                <c:pt idx="2">
                  <c:v>15317.000000000004</c:v>
                </c:pt>
                <c:pt idx="3">
                  <c:v>6320.800000000001</c:v>
                </c:pt>
                <c:pt idx="4">
                  <c:v>4263.999999999999</c:v>
                </c:pt>
                <c:pt idx="5">
                  <c:v>61739.810000000216</c:v>
                </c:pt>
              </c:numCache>
            </c:numRef>
          </c:val>
          <c:shape val="box"/>
        </c:ser>
        <c:shape val="box"/>
        <c:axId val="53057174"/>
        <c:axId val="7752519"/>
      </c:bar3D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2519"/>
        <c:crosses val="autoZero"/>
        <c:auto val="1"/>
        <c:lblOffset val="100"/>
        <c:tickLblSkip val="1"/>
        <c:noMultiLvlLbl val="0"/>
      </c:catAx>
      <c:valAx>
        <c:axId val="7752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109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110</v>
      </c>
      <c r="C3" s="119" t="s">
        <v>102</v>
      </c>
      <c r="D3" s="119" t="s">
        <v>29</v>
      </c>
      <c r="E3" s="119" t="s">
        <v>28</v>
      </c>
      <c r="F3" s="119" t="s">
        <v>111</v>
      </c>
      <c r="G3" s="119" t="s">
        <v>103</v>
      </c>
      <c r="H3" s="119" t="s">
        <v>112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255646.7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</f>
        <v>229974.91</v>
      </c>
      <c r="E6" s="3">
        <f>D6/D137*100</f>
        <v>44.41536637279091</v>
      </c>
      <c r="F6" s="3">
        <f>D6/B6*100</f>
        <v>89.95809842254955</v>
      </c>
      <c r="G6" s="3">
        <f aca="true" t="shared" si="0" ref="G6:G41">D6/C6*100</f>
        <v>83.5550180807353</v>
      </c>
      <c r="H6" s="3">
        <f>B6-D6</f>
        <v>25671.790000000008</v>
      </c>
      <c r="I6" s="3">
        <f aca="true" t="shared" si="1" ref="I6:I41">C6-D6</f>
        <v>45262.79000000001</v>
      </c>
    </row>
    <row r="7" spans="1:9" ht="18">
      <c r="A7" s="29" t="s">
        <v>3</v>
      </c>
      <c r="B7" s="49">
        <v>205760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</f>
        <v>192914.49999999994</v>
      </c>
      <c r="E7" s="1">
        <f>D7/D6*100</f>
        <v>83.88502032678258</v>
      </c>
      <c r="F7" s="1">
        <f>D7/B7*100</f>
        <v>93.75704704510106</v>
      </c>
      <c r="G7" s="1">
        <f t="shared" si="0"/>
        <v>89.26594114813558</v>
      </c>
      <c r="H7" s="1">
        <f>B7-D7</f>
        <v>12845.500000000058</v>
      </c>
      <c r="I7" s="1">
        <f t="shared" si="1"/>
        <v>23197.600000000064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</f>
        <v>23.8</v>
      </c>
      <c r="E8" s="12">
        <f>D8/D6*100</f>
        <v>0.010348955022963157</v>
      </c>
      <c r="F8" s="1">
        <f>D8/B8*100</f>
        <v>53.36322869955157</v>
      </c>
      <c r="G8" s="1">
        <f t="shared" si="0"/>
        <v>53.36322869955157</v>
      </c>
      <c r="H8" s="1">
        <f aca="true" t="shared" si="2" ref="H8:H41">B8-D8</f>
        <v>20.8</v>
      </c>
      <c r="I8" s="1">
        <f t="shared" si="1"/>
        <v>20.8</v>
      </c>
    </row>
    <row r="9" spans="1:9" ht="18">
      <c r="A9" s="29" t="s">
        <v>1</v>
      </c>
      <c r="B9" s="49">
        <v>15502.3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</f>
        <v>13096.6</v>
      </c>
      <c r="E9" s="1">
        <f>D9/D6*100</f>
        <v>5.694795140913415</v>
      </c>
      <c r="F9" s="1">
        <f aca="true" t="shared" si="3" ref="F9:F39">D9/B9*100</f>
        <v>84.48165756049103</v>
      </c>
      <c r="G9" s="1">
        <f t="shared" si="0"/>
        <v>76.5717359401767</v>
      </c>
      <c r="H9" s="1">
        <f t="shared" si="2"/>
        <v>2405.699999999999</v>
      </c>
      <c r="I9" s="1">
        <f t="shared" si="1"/>
        <v>4007.1000000000004</v>
      </c>
    </row>
    <row r="10" spans="1:9" ht="18">
      <c r="A10" s="29" t="s">
        <v>0</v>
      </c>
      <c r="B10" s="49">
        <v>31902.3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</f>
        <v>22316.8</v>
      </c>
      <c r="E10" s="1">
        <f>D10/D6*100</f>
        <v>9.70401510321278</v>
      </c>
      <c r="F10" s="1">
        <f t="shared" si="3"/>
        <v>69.95357701482338</v>
      </c>
      <c r="G10" s="1">
        <f t="shared" si="0"/>
        <v>56.57628880353906</v>
      </c>
      <c r="H10" s="1">
        <f t="shared" si="2"/>
        <v>9585.5</v>
      </c>
      <c r="I10" s="1">
        <f t="shared" si="1"/>
        <v>17128.7</v>
      </c>
    </row>
    <row r="11" spans="1:9" ht="18">
      <c r="A11" s="29" t="s">
        <v>15</v>
      </c>
      <c r="B11" s="49">
        <v>242.6</v>
      </c>
      <c r="C11" s="50">
        <f>281.8-31.7</f>
        <v>250.10000000000002</v>
      </c>
      <c r="D11" s="51">
        <f>4+4+12.7+4+4+14.5+4+115.8+4+14.4+5.4+0.1+13.4+1+0.1</f>
        <v>201.4</v>
      </c>
      <c r="E11" s="1">
        <f>D11/D6*100</f>
        <v>0.08757477065650335</v>
      </c>
      <c r="F11" s="1">
        <f t="shared" si="3"/>
        <v>83.01731244847485</v>
      </c>
      <c r="G11" s="1">
        <f t="shared" si="0"/>
        <v>80.52778888444621</v>
      </c>
      <c r="H11" s="1">
        <f t="shared" si="2"/>
        <v>41.19999999999999</v>
      </c>
      <c r="I11" s="1">
        <f t="shared" si="1"/>
        <v>48.70000000000002</v>
      </c>
    </row>
    <row r="12" spans="1:9" ht="18.75" thickBot="1">
      <c r="A12" s="29" t="s">
        <v>35</v>
      </c>
      <c r="B12" s="50">
        <f>B6-B7-B8-B9-B10-B11</f>
        <v>2194.9000000000183</v>
      </c>
      <c r="C12" s="50">
        <f>C6-C7-C8-C9-C10-C11</f>
        <v>2281.700000000003</v>
      </c>
      <c r="D12" s="50">
        <f>D6-D7-D8-D9-D10-D11</f>
        <v>1421.8100000000609</v>
      </c>
      <c r="E12" s="1">
        <f>D12/D6*100</f>
        <v>0.6182457034117594</v>
      </c>
      <c r="F12" s="1">
        <f t="shared" si="3"/>
        <v>64.77789420930561</v>
      </c>
      <c r="G12" s="1">
        <f t="shared" si="0"/>
        <v>62.313625805323184</v>
      </c>
      <c r="H12" s="1">
        <f t="shared" si="2"/>
        <v>773.0899999999574</v>
      </c>
      <c r="I12" s="1">
        <f t="shared" si="1"/>
        <v>859.8899999999421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173300.3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</f>
        <v>160143.60000000003</v>
      </c>
      <c r="E17" s="3">
        <f>D17/D137*100</f>
        <v>30.928750733102493</v>
      </c>
      <c r="F17" s="3">
        <f>D17/B17*100</f>
        <v>92.40814932230357</v>
      </c>
      <c r="G17" s="3">
        <f t="shared" si="0"/>
        <v>89.71273411533772</v>
      </c>
      <c r="H17" s="3">
        <f>B17-D17</f>
        <v>13156.699999999953</v>
      </c>
      <c r="I17" s="3">
        <f t="shared" si="1"/>
        <v>18363.49999999997</v>
      </c>
    </row>
    <row r="18" spans="1:9" ht="18">
      <c r="A18" s="29" t="s">
        <v>5</v>
      </c>
      <c r="B18" s="49">
        <v>134128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</f>
        <v>129827.8</v>
      </c>
      <c r="E18" s="1">
        <f>D18/D17*100</f>
        <v>81.06961502051907</v>
      </c>
      <c r="F18" s="1">
        <f t="shared" si="3"/>
        <v>96.79395801025886</v>
      </c>
      <c r="G18" s="1">
        <f t="shared" si="0"/>
        <v>96.78320656553572</v>
      </c>
      <c r="H18" s="1">
        <f t="shared" si="2"/>
        <v>4300.199999999997</v>
      </c>
      <c r="I18" s="1">
        <f t="shared" si="1"/>
        <v>4315.099999999991</v>
      </c>
    </row>
    <row r="19" spans="1:9" ht="18">
      <c r="A19" s="29" t="s">
        <v>2</v>
      </c>
      <c r="B19" s="49">
        <v>7281.7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</f>
        <v>4897.599999999998</v>
      </c>
      <c r="E19" s="1">
        <f>D19/D17*100</f>
        <v>3.058255215943688</v>
      </c>
      <c r="F19" s="1">
        <f t="shared" si="3"/>
        <v>67.25901918508038</v>
      </c>
      <c r="G19" s="1">
        <f t="shared" si="0"/>
        <v>62.377889575240374</v>
      </c>
      <c r="H19" s="1">
        <f t="shared" si="2"/>
        <v>2384.100000000002</v>
      </c>
      <c r="I19" s="1">
        <f t="shared" si="1"/>
        <v>2953.9000000000024</v>
      </c>
    </row>
    <row r="20" spans="1:9" ht="18">
      <c r="A20" s="29" t="s">
        <v>1</v>
      </c>
      <c r="B20" s="49">
        <v>2605.6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</f>
        <v>2280.2999999999997</v>
      </c>
      <c r="E20" s="1">
        <f>D20/D17*100</f>
        <v>1.4239095411867844</v>
      </c>
      <c r="F20" s="1">
        <f t="shared" si="3"/>
        <v>87.5153515505066</v>
      </c>
      <c r="G20" s="1">
        <f t="shared" si="0"/>
        <v>80.38849326658675</v>
      </c>
      <c r="H20" s="1">
        <f t="shared" si="2"/>
        <v>325.3000000000002</v>
      </c>
      <c r="I20" s="1">
        <f t="shared" si="1"/>
        <v>556.3000000000002</v>
      </c>
    </row>
    <row r="21" spans="1:9" ht="18">
      <c r="A21" s="29" t="s">
        <v>0</v>
      </c>
      <c r="B21" s="49">
        <v>15535.5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</f>
        <v>11693.099999999999</v>
      </c>
      <c r="E21" s="1">
        <f>D21/D17*100</f>
        <v>7.301634283230799</v>
      </c>
      <c r="F21" s="1">
        <f t="shared" si="3"/>
        <v>75.26696919957516</v>
      </c>
      <c r="G21" s="1">
        <f t="shared" si="0"/>
        <v>60.41821676587301</v>
      </c>
      <c r="H21" s="1">
        <f t="shared" si="2"/>
        <v>3842.4000000000015</v>
      </c>
      <c r="I21" s="1">
        <f t="shared" si="1"/>
        <v>7660.5</v>
      </c>
    </row>
    <row r="22" spans="1:9" ht="18">
      <c r="A22" s="29" t="s">
        <v>15</v>
      </c>
      <c r="B22" s="49">
        <v>1308.1</v>
      </c>
      <c r="C22" s="50">
        <f>1388.5-4+10.9</f>
        <v>1395.4</v>
      </c>
      <c r="D22" s="51">
        <f>14.2+80.1+19.7+105+3.5+1.3+30+84.1+0.1+72.2+54.8+15.1+59.3+59.3+8.9+52.2+1.2+36.9+21.6+108.1+114.2+52.3+53.9+3.6+52.3+56.5+0.1-0.1</f>
        <v>1160.3999999999999</v>
      </c>
      <c r="E22" s="1">
        <f>D22/D17*100</f>
        <v>0.7245996717945642</v>
      </c>
      <c r="F22" s="1">
        <f t="shared" si="3"/>
        <v>88.7088143108325</v>
      </c>
      <c r="G22" s="1">
        <f t="shared" si="0"/>
        <v>83.15895083846924</v>
      </c>
      <c r="H22" s="1">
        <f t="shared" si="2"/>
        <v>147.70000000000005</v>
      </c>
      <c r="I22" s="1">
        <f t="shared" si="1"/>
        <v>235.00000000000023</v>
      </c>
    </row>
    <row r="23" spans="1:9" ht="18.75" thickBot="1">
      <c r="A23" s="29" t="s">
        <v>35</v>
      </c>
      <c r="B23" s="50">
        <f>B17-B18-B19-B20-B21-B22</f>
        <v>12441.399999999989</v>
      </c>
      <c r="C23" s="50">
        <f>C17-C18-C19-C20-C21-C22</f>
        <v>12927.100000000015</v>
      </c>
      <c r="D23" s="50">
        <f>D17-D18-D19-D20-D21-D22</f>
        <v>10284.400000000036</v>
      </c>
      <c r="E23" s="1">
        <f>D23/D17*100</f>
        <v>6.421986267325098</v>
      </c>
      <c r="F23" s="1">
        <f t="shared" si="3"/>
        <v>82.6627228446963</v>
      </c>
      <c r="G23" s="1">
        <f t="shared" si="0"/>
        <v>79.55689984606002</v>
      </c>
      <c r="H23" s="1">
        <f t="shared" si="2"/>
        <v>2156.9999999999527</v>
      </c>
      <c r="I23" s="1">
        <f t="shared" si="1"/>
        <v>2642.699999999979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34254.3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</f>
        <v>30074.999999999993</v>
      </c>
      <c r="E31" s="3">
        <f>D31/D137*100</f>
        <v>5.808425552429552</v>
      </c>
      <c r="F31" s="3">
        <f>D31/B31*100</f>
        <v>87.7991960133472</v>
      </c>
      <c r="G31" s="3">
        <f t="shared" si="0"/>
        <v>81.89177487998734</v>
      </c>
      <c r="H31" s="3">
        <f t="shared" si="2"/>
        <v>4179.30000000001</v>
      </c>
      <c r="I31" s="3">
        <f t="shared" si="1"/>
        <v>6650.30000000001</v>
      </c>
    </row>
    <row r="32" spans="1:9" ht="18">
      <c r="A32" s="29" t="s">
        <v>3</v>
      </c>
      <c r="B32" s="49">
        <v>26254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1119.5+1121.1+1039.4+104.2+1079.5+1133.4+1048+1163.9+1081.6+1130.3+1238-0.1+13.4+4.1+3118.3+55.1+2433-70.8+488+299.2+413.9+849.2+1170.6+1086.2+1141.9+47.1+1084.4</f>
        <v>23392.4</v>
      </c>
      <c r="E32" s="1">
        <f>D32/D31*100</f>
        <v>77.78021612635081</v>
      </c>
      <c r="F32" s="1">
        <f t="shared" si="3"/>
        <v>89.10032756913233</v>
      </c>
      <c r="G32" s="1">
        <f t="shared" si="0"/>
        <v>83.74647362919048</v>
      </c>
      <c r="H32" s="1">
        <f t="shared" si="2"/>
        <v>2861.5999999999985</v>
      </c>
      <c r="I32" s="1">
        <f t="shared" si="1"/>
        <v>4540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1428.4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1+2.5+0.8+6+1.4+0.1+11.2+0.5+6.3-0.2+32.4+6.9+2.4+3.4+18.4+48+143.7+198.6+32.7+71.3+22.6+9.9+48+1.6+5.4+15.8+0.4+0.8+1.6+4.3+7.5-0.1+9.4+0.4+4.3-0.2+4.2+1.9+2.1+9.7+0.2</f>
        <v>737.1999999999998</v>
      </c>
      <c r="E34" s="1">
        <f>D34/D31*100</f>
        <v>2.4512053200332504</v>
      </c>
      <c r="F34" s="1">
        <f t="shared" si="3"/>
        <v>51.61019322318676</v>
      </c>
      <c r="G34" s="1">
        <f t="shared" si="0"/>
        <v>42.48501613646841</v>
      </c>
      <c r="H34" s="1">
        <f t="shared" si="2"/>
        <v>691.2000000000003</v>
      </c>
      <c r="I34" s="1">
        <f t="shared" si="1"/>
        <v>998.0000000000002</v>
      </c>
    </row>
    <row r="35" spans="1:9" s="44" customFormat="1" ht="18.75">
      <c r="A35" s="23" t="s">
        <v>7</v>
      </c>
      <c r="B35" s="58">
        <v>419.3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1.1900249376558605</v>
      </c>
      <c r="F35" s="19">
        <f t="shared" si="3"/>
        <v>85.35654662532792</v>
      </c>
      <c r="G35" s="19">
        <f t="shared" si="0"/>
        <v>82.03071281228513</v>
      </c>
      <c r="H35" s="19">
        <f t="shared" si="2"/>
        <v>61.400000000000034</v>
      </c>
      <c r="I35" s="19">
        <f t="shared" si="1"/>
        <v>78.39999999999998</v>
      </c>
    </row>
    <row r="36" spans="1:9" ht="18">
      <c r="A36" s="29" t="s">
        <v>15</v>
      </c>
      <c r="B36" s="49">
        <v>24.8</v>
      </c>
      <c r="C36" s="50">
        <f>45.2-20+3</f>
        <v>28.200000000000003</v>
      </c>
      <c r="D36" s="50">
        <f>3.6+3.6+7.2+3.6</f>
        <v>18</v>
      </c>
      <c r="E36" s="1">
        <f>D36/D31*100</f>
        <v>0.059850374064837925</v>
      </c>
      <c r="F36" s="1">
        <f t="shared" si="3"/>
        <v>72.58064516129032</v>
      </c>
      <c r="G36" s="1">
        <f t="shared" si="0"/>
        <v>63.82978723404255</v>
      </c>
      <c r="H36" s="1">
        <f t="shared" si="2"/>
        <v>6.800000000000001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6127.800000000003</v>
      </c>
      <c r="C37" s="49">
        <f>C31-C32-C34-C35-C33-C36</f>
        <v>6593.200000000002</v>
      </c>
      <c r="D37" s="49">
        <f>D31-D32-D34-D35-D33-D36</f>
        <v>5569.499999999992</v>
      </c>
      <c r="E37" s="1">
        <f>D37/D31*100</f>
        <v>18.51870324189524</v>
      </c>
      <c r="F37" s="1">
        <f t="shared" si="3"/>
        <v>90.88906295897368</v>
      </c>
      <c r="G37" s="1">
        <f t="shared" si="0"/>
        <v>84.47339683310062</v>
      </c>
      <c r="H37" s="1">
        <f>B37-D37</f>
        <v>558.3000000000111</v>
      </c>
      <c r="I37" s="1">
        <f t="shared" si="1"/>
        <v>1023.7000000000098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792.7</v>
      </c>
      <c r="C41" s="53">
        <f>1079.9+40.7-300</f>
        <v>820.6000000000001</v>
      </c>
      <c r="D41" s="54">
        <f>39.9+10-0.1+63.8+32.1+23.9+51.2+20.3+38.8+26.2+1.3+95+24+3.6+45.4+22.4</f>
        <v>497.8</v>
      </c>
      <c r="E41" s="3">
        <f>D41/D137*100</f>
        <v>0.0961407893599146</v>
      </c>
      <c r="F41" s="3">
        <f>D41/B41*100</f>
        <v>62.79803204238677</v>
      </c>
      <c r="G41" s="3">
        <f t="shared" si="0"/>
        <v>60.66292956373385</v>
      </c>
      <c r="H41" s="3">
        <f t="shared" si="2"/>
        <v>294.90000000000003</v>
      </c>
      <c r="I41" s="3">
        <f t="shared" si="1"/>
        <v>322.8000000000001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5585.7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</f>
        <v>4793.3</v>
      </c>
      <c r="E43" s="3">
        <f>D43/D137*100</f>
        <v>0.9257365320186393</v>
      </c>
      <c r="F43" s="3">
        <f>D43/B43*100</f>
        <v>85.81377445978123</v>
      </c>
      <c r="G43" s="3">
        <f aca="true" t="shared" si="4" ref="G43:G73">D43/C43*100</f>
        <v>78.51176046648759</v>
      </c>
      <c r="H43" s="3">
        <f>B43-D43</f>
        <v>792.3999999999996</v>
      </c>
      <c r="I43" s="3">
        <f aca="true" t="shared" si="5" ref="I43:I74">C43-D43</f>
        <v>1311.8999999999996</v>
      </c>
    </row>
    <row r="44" spans="1:9" ht="18">
      <c r="A44" s="29" t="s">
        <v>3</v>
      </c>
      <c r="B44" s="49">
        <v>4933.8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</f>
        <v>4387.2</v>
      </c>
      <c r="E44" s="1">
        <f>D44/D43*100</f>
        <v>91.52775749483654</v>
      </c>
      <c r="F44" s="1">
        <f aca="true" t="shared" si="6" ref="F44:F71">D44/B44*100</f>
        <v>88.92131825367869</v>
      </c>
      <c r="G44" s="1">
        <f t="shared" si="4"/>
        <v>81.85990969138335</v>
      </c>
      <c r="H44" s="1">
        <f aca="true" t="shared" si="7" ref="H44:H71">B44-D44</f>
        <v>546.6000000000004</v>
      </c>
      <c r="I44" s="1">
        <f t="shared" si="5"/>
        <v>972.2000000000007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0.020862453841820876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36.6</v>
      </c>
      <c r="C46" s="50">
        <f>35.1+9.9</f>
        <v>45</v>
      </c>
      <c r="D46" s="51">
        <f>3.2+3.4-0.1+3.7+3.6+3.5+3.2+5.6</f>
        <v>26.099999999999994</v>
      </c>
      <c r="E46" s="1">
        <f>D46/D43*100</f>
        <v>0.5445100452715247</v>
      </c>
      <c r="F46" s="1">
        <f t="shared" si="6"/>
        <v>71.31147540983605</v>
      </c>
      <c r="G46" s="1">
        <f t="shared" si="4"/>
        <v>57.999999999999986</v>
      </c>
      <c r="H46" s="1">
        <f t="shared" si="7"/>
        <v>10.500000000000007</v>
      </c>
      <c r="I46" s="1">
        <f t="shared" si="5"/>
        <v>18.900000000000006</v>
      </c>
    </row>
    <row r="47" spans="1:9" ht="18">
      <c r="A47" s="29" t="s">
        <v>0</v>
      </c>
      <c r="B47" s="49">
        <v>317.3</v>
      </c>
      <c r="C47" s="50">
        <f>358+23.1+0.1</f>
        <v>381.20000000000005</v>
      </c>
      <c r="D47" s="51">
        <f>23.1+2.7+0.5+0.4+5.2+0.6+99.9+12.6+20.5-0.1+2+19.6+1.1+0.5+4.4+0.4+3.4+4+2.3+0.3+1.3+0.1+0.3</f>
        <v>205.10000000000005</v>
      </c>
      <c r="E47" s="1">
        <f>D47/D43*100</f>
        <v>4.278889282957462</v>
      </c>
      <c r="F47" s="1">
        <f t="shared" si="6"/>
        <v>64.6391427670974</v>
      </c>
      <c r="G47" s="1">
        <f t="shared" si="4"/>
        <v>53.803777544596024</v>
      </c>
      <c r="H47" s="1">
        <f t="shared" si="7"/>
        <v>112.19999999999996</v>
      </c>
      <c r="I47" s="1">
        <f t="shared" si="5"/>
        <v>176.1</v>
      </c>
    </row>
    <row r="48" spans="1:9" ht="18.75" thickBot="1">
      <c r="A48" s="29" t="s">
        <v>35</v>
      </c>
      <c r="B48" s="50">
        <f>B43-B44-B47-B46-B45</f>
        <v>296.9999999999996</v>
      </c>
      <c r="C48" s="50">
        <f>C43-C44-C47-C46-C45</f>
        <v>318.5999999999992</v>
      </c>
      <c r="D48" s="50">
        <f>D43-D44-D47-D46-D45</f>
        <v>173.90000000000032</v>
      </c>
      <c r="E48" s="1">
        <f>D48/D43*100</f>
        <v>3.627980723092657</v>
      </c>
      <c r="F48" s="1">
        <f t="shared" si="6"/>
        <v>58.55218855218873</v>
      </c>
      <c r="G48" s="1">
        <f t="shared" si="4"/>
        <v>54.582548650345494</v>
      </c>
      <c r="H48" s="1">
        <f t="shared" si="7"/>
        <v>123.09999999999928</v>
      </c>
      <c r="I48" s="1">
        <f t="shared" si="5"/>
        <v>144.6999999999989</v>
      </c>
    </row>
    <row r="49" spans="1:9" ht="18.75" thickBot="1">
      <c r="A49" s="28" t="s">
        <v>4</v>
      </c>
      <c r="B49" s="52">
        <v>11077.2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</f>
        <v>9423.500000000002</v>
      </c>
      <c r="E49" s="3">
        <f>D49/D137*100</f>
        <v>1.81997333976126</v>
      </c>
      <c r="F49" s="3">
        <f>D49/B49*100</f>
        <v>85.07113711046114</v>
      </c>
      <c r="G49" s="3">
        <f t="shared" si="4"/>
        <v>77.62227969885177</v>
      </c>
      <c r="H49" s="3">
        <f>B49-D49</f>
        <v>1653.699999999999</v>
      </c>
      <c r="I49" s="3">
        <f t="shared" si="5"/>
        <v>2716.699999999997</v>
      </c>
    </row>
    <row r="50" spans="1:9" ht="18">
      <c r="A50" s="29" t="s">
        <v>3</v>
      </c>
      <c r="B50" s="49">
        <v>6894.1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282.8+343.5+279.8+360.5+269.9+364.8-0.1+7.2+231.6+28.9+358.6+269.6+381.2-0.1+7.2+297.2+563.3+0.1+313.9+22.4+240.9+0.1+181.6+201.2+250.5+390.2-0.1+273+392.4</f>
        <v>6312.0999999999985</v>
      </c>
      <c r="E50" s="1">
        <f>D50/D49*100</f>
        <v>66.98254364089773</v>
      </c>
      <c r="F50" s="1">
        <f t="shared" si="6"/>
        <v>91.55799886859775</v>
      </c>
      <c r="G50" s="1">
        <f t="shared" si="4"/>
        <v>84.25007674750735</v>
      </c>
      <c r="H50" s="1">
        <f t="shared" si="7"/>
        <v>582.0000000000018</v>
      </c>
      <c r="I50" s="1">
        <f t="shared" si="5"/>
        <v>1180.0000000000018</v>
      </c>
    </row>
    <row r="51" spans="1:9" ht="18">
      <c r="A51" s="29" t="s">
        <v>2</v>
      </c>
      <c r="B51" s="49">
        <v>9.7</v>
      </c>
      <c r="C51" s="50">
        <v>9.7</v>
      </c>
      <c r="D51" s="51">
        <f>0.5+0.8+0.8</f>
        <v>2.1</v>
      </c>
      <c r="E51" s="12">
        <f>D51/D49*100</f>
        <v>0.022284713747546023</v>
      </c>
      <c r="F51" s="1">
        <f t="shared" si="6"/>
        <v>21.64948453608248</v>
      </c>
      <c r="G51" s="1">
        <f t="shared" si="4"/>
        <v>21.64948453608248</v>
      </c>
      <c r="H51" s="1">
        <f t="shared" si="7"/>
        <v>7.6</v>
      </c>
      <c r="I51" s="1">
        <f t="shared" si="5"/>
        <v>7.6</v>
      </c>
    </row>
    <row r="52" spans="1:9" ht="18">
      <c r="A52" s="29" t="s">
        <v>1</v>
      </c>
      <c r="B52" s="49">
        <v>287.8</v>
      </c>
      <c r="C52" s="50">
        <f>325-2</f>
        <v>323</v>
      </c>
      <c r="D52" s="51">
        <f>2.4+4.2+4.2+8.7+3.1+5.2-0.1+2.3+6.7+7.1+0.1+3.9+3.5+21.5+2.5-0.1+4.3+17.5+11.1+0.7-0.1+5.1+1.5+0.9+0.1+4.4+2.8+10.2+1.2</f>
        <v>134.9</v>
      </c>
      <c r="E52" s="1">
        <f>D52/D49*100</f>
        <v>1.4315275640685516</v>
      </c>
      <c r="F52" s="1">
        <f t="shared" si="6"/>
        <v>46.87282835302293</v>
      </c>
      <c r="G52" s="1">
        <f t="shared" si="4"/>
        <v>41.76470588235294</v>
      </c>
      <c r="H52" s="1">
        <f t="shared" si="7"/>
        <v>152.9</v>
      </c>
      <c r="I52" s="1">
        <f t="shared" si="5"/>
        <v>188.1</v>
      </c>
    </row>
    <row r="53" spans="1:9" ht="18">
      <c r="A53" s="29" t="s">
        <v>0</v>
      </c>
      <c r="B53" s="49">
        <v>416.2</v>
      </c>
      <c r="C53" s="50">
        <f>534.1-3+2</f>
        <v>533.1</v>
      </c>
      <c r="D53" s="51">
        <f>6+11+5+10.4+0.1+20.8+16+0.1+76.5+39.2+7.7+0.3+8.1+0.1+0.2+12-0.1+0.1+4.7+0.1+6.4+2.7+8.2+0.3+5.7+1.7+0.9+0.1+5.2+0.5+0.2+3+0.1-0.1</f>
        <v>253.19999999999987</v>
      </c>
      <c r="E53" s="1">
        <f>D53/D49*100</f>
        <v>2.6868997718469765</v>
      </c>
      <c r="F53" s="1">
        <f t="shared" si="6"/>
        <v>60.83613647284957</v>
      </c>
      <c r="G53" s="1">
        <f t="shared" si="4"/>
        <v>47.495779403489</v>
      </c>
      <c r="H53" s="1">
        <f t="shared" si="7"/>
        <v>163.0000000000001</v>
      </c>
      <c r="I53" s="1">
        <f t="shared" si="5"/>
        <v>279.90000000000015</v>
      </c>
    </row>
    <row r="54" spans="1:9" ht="18.75" thickBot="1">
      <c r="A54" s="29" t="s">
        <v>35</v>
      </c>
      <c r="B54" s="50">
        <f>B49-B50-B53-B52-B51</f>
        <v>3469.4000000000005</v>
      </c>
      <c r="C54" s="50">
        <f>C49-C50-C53-C52-C51</f>
        <v>3782.2999999999984</v>
      </c>
      <c r="D54" s="50">
        <f>D49-D50-D53-D52-D51</f>
        <v>2721.2000000000035</v>
      </c>
      <c r="E54" s="1">
        <f>D54/D49*100</f>
        <v>28.8767443094392</v>
      </c>
      <c r="F54" s="1">
        <f t="shared" si="6"/>
        <v>78.43431140831277</v>
      </c>
      <c r="G54" s="1">
        <f t="shared" si="4"/>
        <v>71.9456415408615</v>
      </c>
      <c r="H54" s="1">
        <f t="shared" si="7"/>
        <v>748.1999999999971</v>
      </c>
      <c r="I54" s="1">
        <f>C54-D54</f>
        <v>1061.099999999995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2939.7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</f>
        <v>2684.4000000000005</v>
      </c>
      <c r="E56" s="3">
        <f>D56/D137*100</f>
        <v>0.5184418138966549</v>
      </c>
      <c r="F56" s="3">
        <f>D56/B56*100</f>
        <v>91.31544035105625</v>
      </c>
      <c r="G56" s="3">
        <f t="shared" si="4"/>
        <v>86.45410628019326</v>
      </c>
      <c r="H56" s="3">
        <f>B56-D56</f>
        <v>255.29999999999927</v>
      </c>
      <c r="I56" s="3">
        <f t="shared" si="5"/>
        <v>420.59999999999945</v>
      </c>
    </row>
    <row r="57" spans="1:9" ht="18">
      <c r="A57" s="29" t="s">
        <v>3</v>
      </c>
      <c r="B57" s="49">
        <v>1694.4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</f>
        <v>1553</v>
      </c>
      <c r="E57" s="1">
        <f>D57/D56*100</f>
        <v>57.852779019520185</v>
      </c>
      <c r="F57" s="1">
        <f t="shared" si="6"/>
        <v>91.65486307837583</v>
      </c>
      <c r="G57" s="1">
        <f t="shared" si="4"/>
        <v>86.46511886865986</v>
      </c>
      <c r="H57" s="1">
        <f t="shared" si="7"/>
        <v>141.4000000000001</v>
      </c>
      <c r="I57" s="1">
        <f t="shared" si="5"/>
        <v>243.10000000000014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6.757562211294887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227.2</v>
      </c>
      <c r="C59" s="50">
        <f>297.4-9.5</f>
        <v>287.9</v>
      </c>
      <c r="D59" s="51">
        <f>4.5+4.5+30.5+35.2+10+24.5+10.2+0.1+1.9+1.8+3+1.2+0.9+0.8+1.4+0.5</f>
        <v>131.00000000000003</v>
      </c>
      <c r="E59" s="1">
        <f>D59/D56*100</f>
        <v>4.880047682908657</v>
      </c>
      <c r="F59" s="1">
        <f t="shared" si="6"/>
        <v>57.65845070422537</v>
      </c>
      <c r="G59" s="1">
        <f t="shared" si="4"/>
        <v>45.50191038555055</v>
      </c>
      <c r="H59" s="1">
        <f t="shared" si="7"/>
        <v>96.19999999999996</v>
      </c>
      <c r="I59" s="1">
        <f t="shared" si="5"/>
        <v>156.89999999999995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27.130829980628818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108.39999999999972</v>
      </c>
      <c r="C61" s="50">
        <f>C56-C57-C59-C60-C58</f>
        <v>111.29999999999981</v>
      </c>
      <c r="D61" s="50">
        <f>D56-D57-D59-D60-D58</f>
        <v>90.70000000000047</v>
      </c>
      <c r="E61" s="1">
        <f>D61/D56*100</f>
        <v>3.378781105647461</v>
      </c>
      <c r="F61" s="1">
        <f t="shared" si="6"/>
        <v>83.6715867158678</v>
      </c>
      <c r="G61" s="1">
        <f t="shared" si="4"/>
        <v>81.491464510333</v>
      </c>
      <c r="H61" s="1">
        <f t="shared" si="7"/>
        <v>17.69999999999925</v>
      </c>
      <c r="I61" s="1">
        <f t="shared" si="5"/>
        <v>20.59999999999934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339</v>
      </c>
      <c r="C66" s="53">
        <f>C67+C68</f>
        <v>375.69999999999993</v>
      </c>
      <c r="D66" s="54">
        <f>SUM(D67:D68)</f>
        <v>1.4</v>
      </c>
      <c r="E66" s="42">
        <f>D66/D137*100</f>
        <v>0.0002703838993649667</v>
      </c>
      <c r="F66" s="113">
        <f>D66/B66*100</f>
        <v>0.41297935103244837</v>
      </c>
      <c r="G66" s="3">
        <f t="shared" si="4"/>
        <v>0.3726377428799575</v>
      </c>
      <c r="H66" s="3">
        <f>B66-D66</f>
        <v>337.6</v>
      </c>
      <c r="I66" s="3">
        <f t="shared" si="5"/>
        <v>374.29999999999995</v>
      </c>
    </row>
    <row r="67" spans="1:9" ht="18">
      <c r="A67" s="29" t="s">
        <v>8</v>
      </c>
      <c r="B67" s="49">
        <v>314.1</v>
      </c>
      <c r="C67" s="50">
        <f>257.4+70.7</f>
        <v>328.09999999999997</v>
      </c>
      <c r="D67" s="51">
        <f>1.4</f>
        <v>1.4</v>
      </c>
      <c r="E67" s="1"/>
      <c r="F67" s="1">
        <f t="shared" si="6"/>
        <v>0.44571792422795287</v>
      </c>
      <c r="G67" s="1">
        <f t="shared" si="4"/>
        <v>0.42669917708015853</v>
      </c>
      <c r="H67" s="1">
        <f t="shared" si="7"/>
        <v>312.70000000000005</v>
      </c>
      <c r="I67" s="1">
        <f t="shared" si="5"/>
        <v>326.7</v>
      </c>
    </row>
    <row r="68" spans="1:9" ht="18.75" thickBot="1">
      <c r="A68" s="29" t="s">
        <v>9</v>
      </c>
      <c r="B68" s="49">
        <v>24.9</v>
      </c>
      <c r="C68" s="50">
        <f>202.6-17.6-66.7-70.7</f>
        <v>47.599999999999994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24.9</v>
      </c>
      <c r="I68" s="1">
        <f t="shared" si="5"/>
        <v>47.599999999999994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366.6</v>
      </c>
      <c r="C74" s="69">
        <v>400</v>
      </c>
      <c r="D74" s="70"/>
      <c r="E74" s="48"/>
      <c r="F74" s="48"/>
      <c r="G74" s="48"/>
      <c r="H74" s="48">
        <f>B74-D74</f>
        <v>366.6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41110.6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</f>
        <v>35498.3</v>
      </c>
      <c r="E87" s="3">
        <f>D87/D137*100</f>
        <v>6.855834839162428</v>
      </c>
      <c r="F87" s="3">
        <f aca="true" t="shared" si="10" ref="F87:F92">D87/B87*100</f>
        <v>86.34828973549402</v>
      </c>
      <c r="G87" s="3">
        <f t="shared" si="8"/>
        <v>80.5289759399656</v>
      </c>
      <c r="H87" s="3">
        <f aca="true" t="shared" si="11" ref="H87:H92">B87-D87</f>
        <v>5612.299999999996</v>
      </c>
      <c r="I87" s="3">
        <f t="shared" si="9"/>
        <v>8583.099999999999</v>
      </c>
    </row>
    <row r="88" spans="1:9" ht="18">
      <c r="A88" s="29" t="s">
        <v>3</v>
      </c>
      <c r="B88" s="49">
        <v>34562.5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</f>
        <v>30699.6</v>
      </c>
      <c r="E88" s="1">
        <f>D88/D87*100</f>
        <v>86.48188786505268</v>
      </c>
      <c r="F88" s="1">
        <f t="shared" si="10"/>
        <v>88.82343580470162</v>
      </c>
      <c r="G88" s="1">
        <f t="shared" si="8"/>
        <v>82.42299926972807</v>
      </c>
      <c r="H88" s="1">
        <f t="shared" si="11"/>
        <v>3862.9000000000015</v>
      </c>
      <c r="I88" s="1">
        <f t="shared" si="9"/>
        <v>6546.800000000003</v>
      </c>
    </row>
    <row r="89" spans="1:9" ht="18">
      <c r="A89" s="29" t="s">
        <v>33</v>
      </c>
      <c r="B89" s="49">
        <v>1723.8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</f>
        <v>1203.8</v>
      </c>
      <c r="E89" s="1">
        <f>D89/D87*100</f>
        <v>3.3911483085105476</v>
      </c>
      <c r="F89" s="1">
        <f t="shared" si="10"/>
        <v>69.8340874811463</v>
      </c>
      <c r="G89" s="1">
        <f t="shared" si="8"/>
        <v>65.77423232433614</v>
      </c>
      <c r="H89" s="1">
        <f t="shared" si="11"/>
        <v>520</v>
      </c>
      <c r="I89" s="1">
        <f t="shared" si="9"/>
        <v>626.3999999999999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4824.299999999998</v>
      </c>
      <c r="C91" s="50">
        <f>C87-C88-C89-C90</f>
        <v>5004.8</v>
      </c>
      <c r="D91" s="50">
        <f>D87-D88-D89-D90</f>
        <v>3594.900000000004</v>
      </c>
      <c r="E91" s="1">
        <f>D91/D87*100</f>
        <v>10.12696382643677</v>
      </c>
      <c r="F91" s="1">
        <f t="shared" si="10"/>
        <v>74.51651016727827</v>
      </c>
      <c r="G91" s="1">
        <f>D91/C91*100</f>
        <v>71.82904411764714</v>
      </c>
      <c r="H91" s="1">
        <f t="shared" si="11"/>
        <v>1229.3999999999942</v>
      </c>
      <c r="I91" s="1">
        <f>C91-D91</f>
        <v>1409.899999999996</v>
      </c>
    </row>
    <row r="92" spans="1:9" ht="19.5" thickBot="1">
      <c r="A92" s="14" t="s">
        <v>12</v>
      </c>
      <c r="B92" s="61">
        <v>40945.9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</f>
        <v>29421.000000000007</v>
      </c>
      <c r="E92" s="3">
        <f>D92/D137*100</f>
        <v>5.6821176451547775</v>
      </c>
      <c r="F92" s="3">
        <f t="shared" si="10"/>
        <v>71.85334795425184</v>
      </c>
      <c r="G92" s="3">
        <f>D92/C92*100</f>
        <v>68.02165891372503</v>
      </c>
      <c r="H92" s="3">
        <f t="shared" si="11"/>
        <v>11524.899999999994</v>
      </c>
      <c r="I92" s="3">
        <f>C92-D92</f>
        <v>13831.399999999994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5770.6</v>
      </c>
      <c r="C98" s="106">
        <f>5290.2+873.6+17.6+66.7</f>
        <v>6248.1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</f>
        <v>4578.499999999998</v>
      </c>
      <c r="E98" s="25">
        <f>D98/D137*100</f>
        <v>0.8842519166017854</v>
      </c>
      <c r="F98" s="25">
        <f>D98/B98*100</f>
        <v>79.3418362042075</v>
      </c>
      <c r="G98" s="25">
        <f aca="true" t="shared" si="12" ref="G98:G135">D98/C98*100</f>
        <v>73.27827659608518</v>
      </c>
      <c r="H98" s="25">
        <f aca="true" t="shared" si="13" ref="H98:H103">B98-D98</f>
        <v>1192.1000000000022</v>
      </c>
      <c r="I98" s="25">
        <f aca="true" t="shared" si="14" ref="I98:I135">C98-D98</f>
        <v>1669.6000000000022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0.3319864584470898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5357.1</v>
      </c>
      <c r="C100" s="51">
        <f>5711.4+17.6+66.7-0.6-0.1</f>
        <v>5794.999999999999</v>
      </c>
      <c r="D100" s="51">
        <f>3302.1+5.1+16.7+151+216.3+17.4+13.8+53.7+7.6+119.5+15.5+6.4+75+28.9+153.8+9.3+9.1+11.7+14.3+26.2+6.6+3.9+0.2</f>
        <v>4264.1</v>
      </c>
      <c r="E100" s="1">
        <f>D100/D98*100</f>
        <v>93.13312220159446</v>
      </c>
      <c r="F100" s="1">
        <f aca="true" t="shared" si="15" ref="F100:F135">D100/B100*100</f>
        <v>79.59717011069422</v>
      </c>
      <c r="G100" s="1">
        <f t="shared" si="12"/>
        <v>73.58239861949959</v>
      </c>
      <c r="H100" s="1">
        <f t="shared" si="13"/>
        <v>1093</v>
      </c>
      <c r="I100" s="1">
        <f t="shared" si="14"/>
        <v>1530.8999999999987</v>
      </c>
    </row>
    <row r="101" spans="1:9" ht="54.75" thickBot="1">
      <c r="A101" s="99" t="s">
        <v>107</v>
      </c>
      <c r="B101" s="101">
        <v>413.7</v>
      </c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5.261548542098944</v>
      </c>
      <c r="F101" s="97">
        <f>D101/B101*100</f>
        <v>58.23060188542423</v>
      </c>
      <c r="G101" s="97">
        <f>D101/C101*100</f>
        <v>52.35818300369486</v>
      </c>
      <c r="H101" s="97">
        <f t="shared" si="13"/>
        <v>172.79999999999995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398.3000000000002</v>
      </c>
      <c r="C102" s="101">
        <f>C98-C99-C100</f>
        <v>437.90000000000146</v>
      </c>
      <c r="D102" s="101">
        <f>D98-D99-D100</f>
        <v>299.199999999998</v>
      </c>
      <c r="E102" s="97">
        <f>D102/D98*100</f>
        <v>6.534891339958461</v>
      </c>
      <c r="F102" s="97">
        <f t="shared" si="15"/>
        <v>75.11925684157616</v>
      </c>
      <c r="G102" s="97">
        <f t="shared" si="12"/>
        <v>68.3261018497367</v>
      </c>
      <c r="H102" s="97">
        <f>B102-D102</f>
        <v>99.10000000000218</v>
      </c>
      <c r="I102" s="97">
        <f t="shared" si="14"/>
        <v>138.70000000000346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16627.8</v>
      </c>
      <c r="C103" s="94">
        <f>SUM(C104:C134)-C111-C115+C135-C130-C131-C105-C108-C118-C119</f>
        <v>17161.1</v>
      </c>
      <c r="D103" s="94">
        <f>SUM(D104:D134)-D111-D115+D135-D130-D131-D105-D108-D118-D119</f>
        <v>10690.599999999997</v>
      </c>
      <c r="E103" s="95">
        <f>D103/D137*100</f>
        <v>2.0646900818222234</v>
      </c>
      <c r="F103" s="95">
        <f>D103/B103*100</f>
        <v>64.29353251783157</v>
      </c>
      <c r="G103" s="95">
        <f t="shared" si="12"/>
        <v>62.29554049565586</v>
      </c>
      <c r="H103" s="95">
        <f t="shared" si="13"/>
        <v>5937.200000000003</v>
      </c>
      <c r="I103" s="95">
        <f t="shared" si="14"/>
        <v>6470.500000000002</v>
      </c>
    </row>
    <row r="104" spans="1:9" ht="37.5">
      <c r="A104" s="34" t="s">
        <v>69</v>
      </c>
      <c r="B104" s="79">
        <v>1262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6.50197369651844</v>
      </c>
      <c r="F104" s="6">
        <f t="shared" si="15"/>
        <v>55.07923930269415</v>
      </c>
      <c r="G104" s="6">
        <f t="shared" si="12"/>
        <v>47.28893121981088</v>
      </c>
      <c r="H104" s="6">
        <f aca="true" t="shared" si="16" ref="H104:H135">B104-D104</f>
        <v>566.8999999999999</v>
      </c>
      <c r="I104" s="6">
        <f t="shared" si="14"/>
        <v>774.8</v>
      </c>
    </row>
    <row r="105" spans="1:9" ht="18">
      <c r="A105" s="29" t="s">
        <v>33</v>
      </c>
      <c r="B105" s="82">
        <v>746.3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46.52284604046631</v>
      </c>
      <c r="G105" s="1">
        <f t="shared" si="12"/>
        <v>38.30961050424805</v>
      </c>
      <c r="H105" s="1">
        <f t="shared" si="16"/>
        <v>399.0999999999999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</f>
        <v>122</v>
      </c>
      <c r="E106" s="6">
        <f>D106/D103*100</f>
        <v>1.1411894561577465</v>
      </c>
      <c r="F106" s="6">
        <f>D106/B106*100</f>
        <v>14.22740524781341</v>
      </c>
      <c r="G106" s="6">
        <f t="shared" si="12"/>
        <v>14.22740524781341</v>
      </c>
      <c r="H106" s="6">
        <f t="shared" si="16"/>
        <v>735.5</v>
      </c>
      <c r="I106" s="6">
        <f t="shared" si="14"/>
        <v>735.5</v>
      </c>
    </row>
    <row r="107" spans="1:9" ht="34.5" customHeight="1">
      <c r="A107" s="17" t="s">
        <v>78</v>
      </c>
      <c r="B107" s="81">
        <v>60</v>
      </c>
      <c r="C107" s="68">
        <f>36.5+27</f>
        <v>63.5</v>
      </c>
      <c r="D107" s="80">
        <f>7.4</f>
        <v>7.4</v>
      </c>
      <c r="E107" s="6">
        <f>D107/D103*100</f>
        <v>0.06921968832432233</v>
      </c>
      <c r="F107" s="6">
        <f t="shared" si="15"/>
        <v>12.333333333333334</v>
      </c>
      <c r="G107" s="6">
        <f t="shared" si="12"/>
        <v>11.653543307086615</v>
      </c>
      <c r="H107" s="6">
        <f t="shared" si="16"/>
        <v>52.6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69.1</v>
      </c>
      <c r="C109" s="68">
        <v>75.5</v>
      </c>
      <c r="D109" s="80">
        <f>5.5+5.5+5.5-0.1+5.5+5.5+5.5+5.5-0.1+5.5+5.5-0.1</f>
        <v>49.199999999999996</v>
      </c>
      <c r="E109" s="6">
        <f>D109/D103*100</f>
        <v>0.46021738723738626</v>
      </c>
      <c r="F109" s="6">
        <f t="shared" si="15"/>
        <v>71.20115774240232</v>
      </c>
      <c r="G109" s="6">
        <f t="shared" si="12"/>
        <v>65.16556291390728</v>
      </c>
      <c r="H109" s="6">
        <f t="shared" si="16"/>
        <v>19.9</v>
      </c>
      <c r="I109" s="6">
        <f t="shared" si="14"/>
        <v>26.300000000000004</v>
      </c>
    </row>
    <row r="110" spans="1:9" ht="37.5">
      <c r="A110" s="17" t="s">
        <v>47</v>
      </c>
      <c r="B110" s="81">
        <v>959.1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6.982769910014406</v>
      </c>
      <c r="F110" s="6">
        <f t="shared" si="15"/>
        <v>77.8333854655406</v>
      </c>
      <c r="G110" s="6">
        <f t="shared" si="12"/>
        <v>71.0952380952381</v>
      </c>
      <c r="H110" s="6">
        <f t="shared" si="16"/>
        <v>212.60000000000002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64.5</v>
      </c>
      <c r="C112" s="60">
        <f>51.6+22.9-10</f>
        <v>64.5</v>
      </c>
      <c r="D112" s="84">
        <f>22.9</f>
        <v>22.9</v>
      </c>
      <c r="E112" s="19">
        <f>D112/D103*100</f>
        <v>0.21420687332797042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216.3</v>
      </c>
      <c r="C113" s="68">
        <f>488.6-250</f>
        <v>238.60000000000002</v>
      </c>
      <c r="D113" s="80">
        <f>4.9+70</f>
        <v>74.9</v>
      </c>
      <c r="E113" s="6">
        <f>D113/D103*100</f>
        <v>0.7006154939853706</v>
      </c>
      <c r="F113" s="6">
        <f>D113/B113*100</f>
        <v>34.627831715210355</v>
      </c>
      <c r="G113" s="6">
        <f t="shared" si="12"/>
        <v>31.391450125733446</v>
      </c>
      <c r="H113" s="6">
        <f t="shared" si="16"/>
        <v>141.4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178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1.3834583652928745</v>
      </c>
      <c r="F114" s="6">
        <f t="shared" si="15"/>
        <v>83.08988764044945</v>
      </c>
      <c r="G114" s="6">
        <f t="shared" si="12"/>
        <v>82.02995008319466</v>
      </c>
      <c r="H114" s="6">
        <f t="shared" si="16"/>
        <v>30.099999999999994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291.7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291.7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734.7</v>
      </c>
      <c r="C117" s="60">
        <f>94.7+700</f>
        <v>794.7</v>
      </c>
      <c r="D117" s="84">
        <f>16.2+3.7+20.7+6.7+10.5</f>
        <v>57.8</v>
      </c>
      <c r="E117" s="19">
        <f>D117/D103*100</f>
        <v>0.5406618898845716</v>
      </c>
      <c r="F117" s="6">
        <f t="shared" si="15"/>
        <v>7.867156662583366</v>
      </c>
      <c r="G117" s="6">
        <f t="shared" si="12"/>
        <v>7.27318484962879</v>
      </c>
      <c r="H117" s="6">
        <f t="shared" si="16"/>
        <v>676.9000000000001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f>1661.4+19</f>
        <v>1680.4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9.739397227470866</v>
      </c>
      <c r="F120" s="6">
        <f t="shared" si="15"/>
        <v>61.96143775291597</v>
      </c>
      <c r="G120" s="6">
        <f t="shared" si="12"/>
        <v>61.243456267278404</v>
      </c>
      <c r="H120" s="6">
        <f t="shared" si="16"/>
        <v>639.2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0.04115765251716462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0.46021738723738626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0.43121995023665666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178.8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1.2637270125156683</v>
      </c>
      <c r="F125" s="6">
        <f t="shared" si="15"/>
        <v>75.5592841163311</v>
      </c>
      <c r="G125" s="6">
        <f t="shared" si="12"/>
        <v>75.5592841163311</v>
      </c>
      <c r="H125" s="6">
        <f t="shared" si="16"/>
        <v>43.70000000000002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64.1</v>
      </c>
      <c r="C126" s="60">
        <v>67.6</v>
      </c>
      <c r="D126" s="84">
        <f>0.5+1.5+0.1+14.8</f>
        <v>16.900000000000002</v>
      </c>
      <c r="E126" s="19">
        <f>D126/D103*100</f>
        <v>0.15808280171365505</v>
      </c>
      <c r="F126" s="6">
        <f t="shared" si="15"/>
        <v>26.36505460218409</v>
      </c>
      <c r="G126" s="6">
        <f t="shared" si="12"/>
        <v>25.000000000000007</v>
      </c>
      <c r="H126" s="6">
        <f t="shared" si="16"/>
        <v>47.19999999999999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798.4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</f>
        <v>716.2000000000003</v>
      </c>
      <c r="E129" s="19">
        <f>D129/D103*100</f>
        <v>6.699343348362118</v>
      </c>
      <c r="F129" s="6">
        <f t="shared" si="15"/>
        <v>89.70440881763531</v>
      </c>
      <c r="G129" s="6">
        <f t="shared" si="12"/>
        <v>82.49251324579593</v>
      </c>
      <c r="H129" s="6">
        <f t="shared" si="16"/>
        <v>82.1999999999997</v>
      </c>
      <c r="I129" s="6">
        <f t="shared" si="14"/>
        <v>151.99999999999977</v>
      </c>
    </row>
    <row r="130" spans="1:9" s="39" customFormat="1" ht="18">
      <c r="A130" s="40" t="s">
        <v>54</v>
      </c>
      <c r="B130" s="82">
        <v>690.1</v>
      </c>
      <c r="C130" s="51">
        <v>747.1</v>
      </c>
      <c r="D130" s="83">
        <f>21.4+1.2+34.6+22.6+31.2+22.6+44.8+0.2+32.7+30.6+29.7+33.6+24.3+38.4+29.7+36.6+5.6+24.5+36.9+39.8+25+0.6+28.8+33.8</f>
        <v>629.1999999999999</v>
      </c>
      <c r="E130" s="1">
        <f>D130/D129*100</f>
        <v>87.85255515219208</v>
      </c>
      <c r="F130" s="1">
        <f>D130/B130*100</f>
        <v>91.17519200115925</v>
      </c>
      <c r="G130" s="1">
        <f t="shared" si="12"/>
        <v>84.21898005621736</v>
      </c>
      <c r="H130" s="1">
        <f t="shared" si="16"/>
        <v>60.90000000000009</v>
      </c>
      <c r="I130" s="1">
        <f t="shared" si="14"/>
        <v>117.90000000000009</v>
      </c>
    </row>
    <row r="131" spans="1:9" s="39" customFormat="1" ht="18">
      <c r="A131" s="29" t="s">
        <v>33</v>
      </c>
      <c r="B131" s="82">
        <v>19.9</v>
      </c>
      <c r="C131" s="51">
        <f>27.4-3</f>
        <v>24.4</v>
      </c>
      <c r="D131" s="83">
        <f>3.4+3+2.7+1.6-0.1+0.1+0.1+0.1+0.1+0.1</f>
        <v>11.1</v>
      </c>
      <c r="E131" s="1">
        <f>D131/D129*100</f>
        <v>1.5498464116168662</v>
      </c>
      <c r="F131" s="1">
        <f>D131/B131*100</f>
        <v>55.778894472361806</v>
      </c>
      <c r="G131" s="1">
        <f>D131/C131*100</f>
        <v>45.49180327868852</v>
      </c>
      <c r="H131" s="1">
        <f t="shared" si="16"/>
        <v>8.799999999999999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8376</v>
      </c>
      <c r="C132" s="60">
        <v>8376</v>
      </c>
      <c r="D132" s="84">
        <f>1513.1+580.9+2094+2094</f>
        <v>6282</v>
      </c>
      <c r="E132" s="19">
        <f>D132/D103*100</f>
        <v>58.76190298018822</v>
      </c>
      <c r="F132" s="6">
        <f t="shared" si="15"/>
        <v>75</v>
      </c>
      <c r="G132" s="6">
        <f t="shared" si="12"/>
        <v>75</v>
      </c>
      <c r="H132" s="6">
        <f t="shared" si="16"/>
        <v>2094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4.450638879015212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23896.7</v>
      </c>
      <c r="C136" s="85">
        <f>C41+C66+C69+C74+C76+C84+C98+C103+C96+C81+C94</f>
        <v>25005.5</v>
      </c>
      <c r="D136" s="60">
        <f>D41+D66+D69+D74+D76+D84+D98+D103+D96+D81+D94</f>
        <v>15768.299999999996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588757.1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517782.31</v>
      </c>
      <c r="E137" s="38">
        <v>100</v>
      </c>
      <c r="F137" s="3">
        <f>D137/B137*100</f>
        <v>87.9449793471705</v>
      </c>
      <c r="G137" s="3">
        <f aca="true" t="shared" si="17" ref="G137:G143">D137/C137*100</f>
        <v>82.95668993741667</v>
      </c>
      <c r="H137" s="3">
        <f aca="true" t="shared" si="18" ref="H137:H143">B137-D137</f>
        <v>70974.78999999998</v>
      </c>
      <c r="I137" s="3">
        <f aca="true" t="shared" si="19" ref="I137:I143">C137-D137</f>
        <v>106377.48999999993</v>
      </c>
      <c r="K137" s="46"/>
      <c r="L137" s="47"/>
    </row>
    <row r="138" spans="1:12" ht="18.75">
      <c r="A138" s="23" t="s">
        <v>5</v>
      </c>
      <c r="B138" s="67">
        <f>B7+B18+B32+B50+B57+B88+B111+B115+B44+B130</f>
        <v>415065.1</v>
      </c>
      <c r="C138" s="67">
        <f>C7+C18+C32+C50+C57+C88+C111+C115+C44+C130</f>
        <v>430976.7</v>
      </c>
      <c r="D138" s="67">
        <f>D7+D18+D32+D50+D57+D88+D111+D115+D44+D130</f>
        <v>389837.0999999999</v>
      </c>
      <c r="E138" s="6">
        <f>D138/D137*100</f>
        <v>75.28976801080745</v>
      </c>
      <c r="F138" s="6">
        <f aca="true" t="shared" si="20" ref="F138:F149">D138/B138*100</f>
        <v>93.92191730887515</v>
      </c>
      <c r="G138" s="6">
        <f t="shared" si="17"/>
        <v>90.45433314608421</v>
      </c>
      <c r="H138" s="6">
        <f t="shared" si="18"/>
        <v>25228.00000000006</v>
      </c>
      <c r="I138" s="18">
        <f t="shared" si="19"/>
        <v>41139.60000000009</v>
      </c>
      <c r="K138" s="46"/>
      <c r="L138" s="47"/>
    </row>
    <row r="139" spans="1:12" ht="18.75">
      <c r="A139" s="23" t="s">
        <v>0</v>
      </c>
      <c r="B139" s="68">
        <f>B10+B21+B34+B53+B59+B89+B47+B131+B105+B108</f>
        <v>52316.90000000001</v>
      </c>
      <c r="C139" s="68">
        <f>C10+C21+C34+C53+C59+C89+C47+C131+C105+C108</f>
        <v>64497.399999999994</v>
      </c>
      <c r="D139" s="68">
        <f>D10+D21+D34+D53+D59+D89+D47+D131+D105+D108</f>
        <v>36898.499999999985</v>
      </c>
      <c r="E139" s="6">
        <f>D139/D137*100</f>
        <v>7.126257364798729</v>
      </c>
      <c r="F139" s="6">
        <f t="shared" si="20"/>
        <v>70.52883485068875</v>
      </c>
      <c r="G139" s="6">
        <f t="shared" si="17"/>
        <v>57.209282854812734</v>
      </c>
      <c r="H139" s="6">
        <f t="shared" si="18"/>
        <v>15418.400000000023</v>
      </c>
      <c r="I139" s="18">
        <f t="shared" si="19"/>
        <v>27598.90000000001</v>
      </c>
      <c r="K139" s="46"/>
      <c r="L139" s="103"/>
    </row>
    <row r="140" spans="1:12" ht="18.75">
      <c r="A140" s="23" t="s">
        <v>1</v>
      </c>
      <c r="B140" s="67">
        <f>B20+B9+B52+B46+B58+B33+B99+B119</f>
        <v>18638.6</v>
      </c>
      <c r="C140" s="67">
        <f>C20+C9+C52+C46+C58+C33+C99+C119</f>
        <v>20514.600000000002</v>
      </c>
      <c r="D140" s="67">
        <f>D20+D9+D52+D46+D58+D33+D99+D119</f>
        <v>15740.7</v>
      </c>
      <c r="E140" s="6">
        <f>D140/D137*100</f>
        <v>3.0400227462386655</v>
      </c>
      <c r="F140" s="6">
        <f t="shared" si="20"/>
        <v>84.45215842391598</v>
      </c>
      <c r="G140" s="6">
        <f t="shared" si="17"/>
        <v>76.72925623702143</v>
      </c>
      <c r="H140" s="6">
        <f t="shared" si="18"/>
        <v>2897.899999999998</v>
      </c>
      <c r="I140" s="18">
        <f t="shared" si="19"/>
        <v>4773.9000000000015</v>
      </c>
      <c r="K140" s="46"/>
      <c r="L140" s="47"/>
    </row>
    <row r="141" spans="1:12" ht="21" customHeight="1">
      <c r="A141" s="23" t="s">
        <v>15</v>
      </c>
      <c r="B141" s="67">
        <f>B11+B22+B100+B60+B36+B90</f>
        <v>7660.900000000001</v>
      </c>
      <c r="C141" s="67">
        <f>C11+C22+C100+C60+C36+C90</f>
        <v>8197</v>
      </c>
      <c r="D141" s="67">
        <f>D11+D22+D100+D60+D36+D90</f>
        <v>6372.200000000001</v>
      </c>
      <c r="E141" s="6">
        <f>D141/D137*100</f>
        <v>1.2306716310953152</v>
      </c>
      <c r="F141" s="6">
        <f t="shared" si="20"/>
        <v>83.17821665861713</v>
      </c>
      <c r="G141" s="6">
        <f t="shared" si="17"/>
        <v>77.73819690130537</v>
      </c>
      <c r="H141" s="6">
        <f t="shared" si="18"/>
        <v>1288.6999999999998</v>
      </c>
      <c r="I141" s="18">
        <f t="shared" si="19"/>
        <v>1824.7999999999993</v>
      </c>
      <c r="K141" s="46"/>
      <c r="L141" s="103"/>
    </row>
    <row r="142" spans="1:12" ht="18.75">
      <c r="A142" s="23" t="s">
        <v>2</v>
      </c>
      <c r="B142" s="67">
        <f>B8+B19+B45+B51+B118</f>
        <v>7407</v>
      </c>
      <c r="C142" s="67">
        <f>C8+C19+C45+C51+C118</f>
        <v>7976.8</v>
      </c>
      <c r="D142" s="67">
        <f>D8+D19+D45+D51+D118</f>
        <v>4924.499999999998</v>
      </c>
      <c r="E142" s="6">
        <f>D142/D137*100</f>
        <v>0.9510753660162701</v>
      </c>
      <c r="F142" s="6">
        <f t="shared" si="20"/>
        <v>66.4844066423653</v>
      </c>
      <c r="G142" s="6">
        <f t="shared" si="17"/>
        <v>61.73528231872427</v>
      </c>
      <c r="H142" s="6">
        <f t="shared" si="18"/>
        <v>2482.500000000002</v>
      </c>
      <c r="I142" s="18">
        <f t="shared" si="19"/>
        <v>3052.300000000002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87668.6</v>
      </c>
      <c r="C143" s="67">
        <f>C137-C138-C139-C140-C141-C142</f>
        <v>91997.29999999992</v>
      </c>
      <c r="D143" s="67">
        <f>D137-D138-D139-D140-D141-D142</f>
        <v>64009.3100000001</v>
      </c>
      <c r="E143" s="6">
        <f>D143/D137*100</f>
        <v>12.36220488104356</v>
      </c>
      <c r="F143" s="6">
        <f t="shared" si="20"/>
        <v>73.01281188475703</v>
      </c>
      <c r="G143" s="43">
        <f t="shared" si="17"/>
        <v>69.5773789013375</v>
      </c>
      <c r="H143" s="6">
        <f t="shared" si="18"/>
        <v>23659.289999999906</v>
      </c>
      <c r="I143" s="6">
        <f t="shared" si="19"/>
        <v>27987.989999999816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65198.6</v>
      </c>
      <c r="C145" s="74">
        <f>77971.6-8326.2+721.6-624</f>
        <v>69743.00000000001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</f>
        <v>18440.3</v>
      </c>
      <c r="E145" s="15"/>
      <c r="F145" s="6">
        <f t="shared" si="20"/>
        <v>28.283276021264257</v>
      </c>
      <c r="G145" s="6">
        <f aca="true" t="shared" si="21" ref="G145:G154">D145/C145*100</f>
        <v>26.440359605981957</v>
      </c>
      <c r="H145" s="6">
        <f>B145-D145</f>
        <v>46758.3</v>
      </c>
      <c r="I145" s="6">
        <f aca="true" t="shared" si="22" ref="I145:I154">C145-D145</f>
        <v>51302.70000000001</v>
      </c>
      <c r="J145" s="105"/>
      <c r="K145" s="46"/>
      <c r="L145" s="46"/>
    </row>
    <row r="146" spans="1:12" ht="18.75">
      <c r="A146" s="23" t="s">
        <v>22</v>
      </c>
      <c r="B146" s="89">
        <v>27555.5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2921.3+155.4+1707.9+56.8+14.6+990.8-990.8+14.7+990.8+400.1+597.2+8.8-9.6+18.2+0.4+53.9+92.1+242.6+11.1+67.1+121.7-0.1+4651+87.1+10.9+599.2</f>
        <v>12813.2</v>
      </c>
      <c r="E146" s="6"/>
      <c r="F146" s="6">
        <f t="shared" si="20"/>
        <v>46.49960987824572</v>
      </c>
      <c r="G146" s="6">
        <f t="shared" si="21"/>
        <v>45.84279954061316</v>
      </c>
      <c r="H146" s="6">
        <f aca="true" t="shared" si="23" ref="H146:H153">B146-D146</f>
        <v>14742.3</v>
      </c>
      <c r="I146" s="6">
        <f t="shared" si="22"/>
        <v>15137.100000000002</v>
      </c>
      <c r="K146" s="46"/>
      <c r="L146" s="46"/>
    </row>
    <row r="147" spans="1:12" ht="18.75">
      <c r="A147" s="23" t="s">
        <v>63</v>
      </c>
      <c r="B147" s="89">
        <v>98040</v>
      </c>
      <c r="C147" s="67">
        <f>109130.7-6200+130-3633.3+1677.5-526.6+624+0.1</f>
        <v>101202.4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</f>
        <v>22766.999999999996</v>
      </c>
      <c r="E147" s="6"/>
      <c r="F147" s="6">
        <f t="shared" si="20"/>
        <v>23.222154222766214</v>
      </c>
      <c r="G147" s="6">
        <f t="shared" si="21"/>
        <v>22.496502059239702</v>
      </c>
      <c r="H147" s="6">
        <f t="shared" si="23"/>
        <v>75273</v>
      </c>
      <c r="I147" s="6">
        <f t="shared" si="22"/>
        <v>78435.4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19458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</f>
        <v>5194.700000000002</v>
      </c>
      <c r="E149" s="19"/>
      <c r="F149" s="6">
        <f t="shared" si="20"/>
        <v>26.69698838524001</v>
      </c>
      <c r="G149" s="6">
        <f t="shared" si="21"/>
        <v>26.684097516874374</v>
      </c>
      <c r="H149" s="6">
        <f t="shared" si="23"/>
        <v>14263.3</v>
      </c>
      <c r="I149" s="6">
        <f t="shared" si="22"/>
        <v>14272.7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1014.5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85.22424839822574</v>
      </c>
      <c r="G151" s="6">
        <f t="shared" si="21"/>
        <v>75.10423905489924</v>
      </c>
      <c r="H151" s="6">
        <f t="shared" si="23"/>
        <v>149.89999999999998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8505.6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</f>
        <v>2277.3</v>
      </c>
      <c r="E153" s="24"/>
      <c r="F153" s="6">
        <f>D153/B153*100</f>
        <v>26.774125282167045</v>
      </c>
      <c r="G153" s="6">
        <f t="shared" si="21"/>
        <v>25.684896743850317</v>
      </c>
      <c r="H153" s="6">
        <f t="shared" si="23"/>
        <v>6228.3</v>
      </c>
      <c r="I153" s="6">
        <f t="shared" si="22"/>
        <v>6588.999999999999</v>
      </c>
    </row>
    <row r="154" spans="1:9" ht="19.5" thickBot="1">
      <c r="A154" s="14" t="s">
        <v>20</v>
      </c>
      <c r="B154" s="91">
        <f>B137+B145+B149+B150+B146+B153+B152+B147+B151+B148</f>
        <v>817074.9999999999</v>
      </c>
      <c r="C154" s="91">
        <f>C137+C145+C149+C150+C146+C153+C152+C147+C151+C148</f>
        <v>861086.1</v>
      </c>
      <c r="D154" s="91">
        <f>D137+D145+D149+D150+D146+D153+D152+D147+D151+D148</f>
        <v>588177.5099999999</v>
      </c>
      <c r="E154" s="25"/>
      <c r="F154" s="3">
        <f>D154/B154*100</f>
        <v>71.98574304684392</v>
      </c>
      <c r="G154" s="3">
        <f t="shared" si="21"/>
        <v>68.30646900466746</v>
      </c>
      <c r="H154" s="3">
        <f>B154-D154</f>
        <v>228897.49</v>
      </c>
      <c r="I154" s="3">
        <f t="shared" si="22"/>
        <v>272908.5900000001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517782.31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517782.31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2014-10-31T10:34:43Z</cp:lastPrinted>
  <dcterms:created xsi:type="dcterms:W3CDTF">2000-06-20T04:48:00Z</dcterms:created>
  <dcterms:modified xsi:type="dcterms:W3CDTF">2014-11-03T06:08:54Z</dcterms:modified>
  <cp:category/>
  <cp:version/>
  <cp:contentType/>
  <cp:contentStatus/>
</cp:coreProperties>
</file>